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3igpete\Documents\"/>
    </mc:Choice>
  </mc:AlternateContent>
  <xr:revisionPtr revIDLastSave="0" documentId="13_ncr:1_{5BC8573C-7975-48F4-AE22-DB7E187CEBCA}" xr6:coauthVersionLast="47" xr6:coauthVersionMax="47" xr10:uidLastSave="{00000000-0000-0000-0000-000000000000}"/>
  <bookViews>
    <workbookView xWindow="13935" yWindow="9975" windowWidth="31785" windowHeight="18045" xr2:uid="{1399EEDD-0803-46A1-AEA1-579D890B46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  <c r="H14" i="1"/>
  <c r="J14" i="1"/>
  <c r="L14" i="1"/>
  <c r="N14" i="1"/>
  <c r="P14" i="1"/>
  <c r="R14" i="1"/>
  <c r="T14" i="1"/>
  <c r="D14" i="1"/>
  <c r="D33" i="1"/>
  <c r="D35" i="1"/>
  <c r="D29" i="1"/>
  <c r="D30" i="1" s="1"/>
  <c r="D26" i="1"/>
  <c r="D27" i="1" s="1"/>
  <c r="T8" i="1"/>
  <c r="T9" i="1" s="1"/>
  <c r="T11" i="1" s="1"/>
  <c r="T16" i="1" s="1"/>
  <c r="S8" i="1"/>
  <c r="S9" i="1" s="1"/>
  <c r="S11" i="1" s="1"/>
  <c r="S16" i="1" s="1"/>
  <c r="R8" i="1"/>
  <c r="R9" i="1" s="1"/>
  <c r="R11" i="1" s="1"/>
  <c r="R16" i="1" s="1"/>
  <c r="Q8" i="1"/>
  <c r="Q9" i="1" s="1"/>
  <c r="Q11" i="1" s="1"/>
  <c r="Q16" i="1" s="1"/>
  <c r="P8" i="1"/>
  <c r="P9" i="1" s="1"/>
  <c r="P11" i="1" s="1"/>
  <c r="P16" i="1" s="1"/>
  <c r="O8" i="1"/>
  <c r="O9" i="1" s="1"/>
  <c r="O11" i="1" s="1"/>
  <c r="O16" i="1" s="1"/>
  <c r="N8" i="1"/>
  <c r="N9" i="1" s="1"/>
  <c r="N11" i="1" s="1"/>
  <c r="N16" i="1" s="1"/>
  <c r="M8" i="1"/>
  <c r="M9" i="1" s="1"/>
  <c r="M11" i="1" s="1"/>
  <c r="M16" i="1" s="1"/>
  <c r="L8" i="1"/>
  <c r="L9" i="1" s="1"/>
  <c r="K8" i="1"/>
  <c r="K9" i="1" s="1"/>
  <c r="K11" i="1" s="1"/>
  <c r="K16" i="1" s="1"/>
  <c r="J8" i="1"/>
  <c r="J9" i="1" s="1"/>
  <c r="J11" i="1" s="1"/>
  <c r="J16" i="1" s="1"/>
  <c r="I8" i="1"/>
  <c r="I9" i="1" s="1"/>
  <c r="I11" i="1" s="1"/>
  <c r="I16" i="1" s="1"/>
  <c r="H8" i="1"/>
  <c r="H9" i="1" s="1"/>
  <c r="H11" i="1" s="1"/>
  <c r="H16" i="1" s="1"/>
  <c r="G8" i="1"/>
  <c r="G9" i="1" s="1"/>
  <c r="F8" i="1"/>
  <c r="F9" i="1" s="1"/>
  <c r="E8" i="1"/>
  <c r="E9" i="1" s="1"/>
  <c r="U8" i="1"/>
  <c r="U9" i="1" s="1"/>
  <c r="D39" i="1" l="1"/>
  <c r="L11" i="1"/>
  <c r="L16" i="1" s="1"/>
  <c r="I17" i="1"/>
  <c r="G11" i="1"/>
  <c r="G16" i="1" s="1"/>
  <c r="G17" i="1" s="1"/>
  <c r="J17" i="1"/>
  <c r="H17" i="1"/>
  <c r="H20" i="1" s="1"/>
  <c r="K17" i="1"/>
  <c r="M17" i="1"/>
  <c r="M19" i="1" s="1"/>
  <c r="O17" i="1"/>
  <c r="O19" i="1" s="1"/>
  <c r="E11" i="1"/>
  <c r="E16" i="1" s="1"/>
  <c r="E17" i="1" s="1"/>
  <c r="U11" i="1"/>
  <c r="U16" i="1" s="1"/>
  <c r="U17" i="1" s="1"/>
  <c r="F11" i="1"/>
  <c r="F16" i="1" s="1"/>
  <c r="F17" i="1" s="1"/>
  <c r="Q17" i="1"/>
  <c r="Q20" i="1" s="1"/>
  <c r="S17" i="1"/>
  <c r="S20" i="1" s="1"/>
  <c r="T17" i="1"/>
  <c r="T20" i="1" s="1"/>
  <c r="D37" i="1"/>
  <c r="D38" i="1" s="1"/>
  <c r="D31" i="1"/>
  <c r="N17" i="1"/>
  <c r="N19" i="1" s="1"/>
  <c r="R17" i="1"/>
  <c r="R19" i="1" s="1"/>
  <c r="L17" i="1"/>
  <c r="L20" i="1" s="1"/>
  <c r="K19" i="1"/>
  <c r="K20" i="1"/>
  <c r="I19" i="1"/>
  <c r="I20" i="1"/>
  <c r="J20" i="1"/>
  <c r="J19" i="1"/>
  <c r="O20" i="1"/>
  <c r="P17" i="1"/>
  <c r="D8" i="1"/>
  <c r="D9" i="1" s="1"/>
  <c r="D11" i="1" s="1"/>
  <c r="D16" i="1" s="1"/>
  <c r="D40" i="1" l="1"/>
  <c r="T19" i="1"/>
  <c r="M20" i="1"/>
  <c r="E19" i="1"/>
  <c r="E20" i="1"/>
  <c r="F19" i="1"/>
  <c r="F20" i="1"/>
  <c r="U19" i="1"/>
  <c r="U20" i="1"/>
  <c r="G20" i="1"/>
  <c r="G19" i="1"/>
  <c r="S19" i="1"/>
  <c r="N20" i="1"/>
  <c r="Q19" i="1"/>
  <c r="H19" i="1"/>
  <c r="R20" i="1"/>
  <c r="D17" i="1"/>
  <c r="L19" i="1"/>
  <c r="P19" i="1"/>
  <c r="P20" i="1"/>
  <c r="D20" i="1" l="1"/>
  <c r="D19" i="1"/>
</calcChain>
</file>

<file path=xl/sharedStrings.xml><?xml version="1.0" encoding="utf-8"?>
<sst xmlns="http://schemas.openxmlformats.org/spreadsheetml/2006/main" count="205" uniqueCount="65">
  <si>
    <t>STOCK</t>
  </si>
  <si>
    <t>EIBACH</t>
  </si>
  <si>
    <t>HKS</t>
  </si>
  <si>
    <t>RSR</t>
  </si>
  <si>
    <t>SWIFT</t>
  </si>
  <si>
    <t>TEIN</t>
  </si>
  <si>
    <t>H&amp;R</t>
  </si>
  <si>
    <t>?</t>
  </si>
  <si>
    <t>Ohlins R&amp;T</t>
  </si>
  <si>
    <t>Unit</t>
  </si>
  <si>
    <t>lbf/in</t>
  </si>
  <si>
    <t>kgf/mm</t>
  </si>
  <si>
    <t>N/m</t>
  </si>
  <si>
    <t>kg</t>
  </si>
  <si>
    <t>Hz</t>
  </si>
  <si>
    <t>unitless</t>
  </si>
  <si>
    <t>Effective Front/Rear Ratio</t>
  </si>
  <si>
    <t>Notes:</t>
  </si>
  <si>
    <t>Nitron (TBK)</t>
  </si>
  <si>
    <t>Front</t>
  </si>
  <si>
    <t>Rear</t>
  </si>
  <si>
    <t>Spring Rate</t>
  </si>
  <si>
    <t>Sprung Mass</t>
  </si>
  <si>
    <t>Motion Ratio</t>
  </si>
  <si>
    <t>Tire Radial Stiffness</t>
  </si>
  <si>
    <t>Corner Rate (Spring+Tire)</t>
  </si>
  <si>
    <t>Damping ratio</t>
  </si>
  <si>
    <t>Settling time</t>
  </si>
  <si>
    <t>sec</t>
  </si>
  <si>
    <t>Undamped Corner Frequency</t>
  </si>
  <si>
    <t>Damped Corner Frequency</t>
  </si>
  <si>
    <t>Gas shock Calculator</t>
  </si>
  <si>
    <t>Shock Rod Diameter</t>
  </si>
  <si>
    <t>Shock Rod Area</t>
  </si>
  <si>
    <t>mm</t>
  </si>
  <si>
    <t>Adiabatic Index</t>
  </si>
  <si>
    <t>Initial Gas Volume</t>
  </si>
  <si>
    <t>Pa</t>
  </si>
  <si>
    <t>m^3</t>
  </si>
  <si>
    <t>Rod/Piston Area Ratio</t>
  </si>
  <si>
    <t>mm^2</t>
  </si>
  <si>
    <t>Installed Gas Force</t>
  </si>
  <si>
    <t>N</t>
  </si>
  <si>
    <t>Installed Gas Rate</t>
  </si>
  <si>
    <t>Canister Piston Diameter</t>
  </si>
  <si>
    <t>Canister Piston Area</t>
  </si>
  <si>
    <t>mm^3</t>
  </si>
  <si>
    <t>Initial Gas Pressure</t>
  </si>
  <si>
    <t>m^2</t>
  </si>
  <si>
    <t>bar</t>
  </si>
  <si>
    <t>lbf</t>
  </si>
  <si>
    <t>Gas Rate (calc below)</t>
  </si>
  <si>
    <t>Spring+Gas Rate</t>
  </si>
  <si>
    <t>https://www.researchgate.net/figure/ehicle-typical-damping-coefficient_tbl1_245401813</t>
  </si>
  <si>
    <t>GAS portion of canister, not the whole thing</t>
  </si>
  <si>
    <t>https://en.wikipedia.org/wiki/Heat_capacity_ratio</t>
  </si>
  <si>
    <t>MCS between 6-18 bar.  https://www.motioncontrolsuspension.com/wp-content/uploads/2018/04/MCS_3-way_adj_instructions.pdf</t>
  </si>
  <si>
    <t>copy this cell</t>
  </si>
  <si>
    <t>paste from calculator below, 0 for unpressurized shocks</t>
  </si>
  <si>
    <t>https://www.researchgate.net/figure/Vertical-stiffness-of-standard-tires-and-run-flat-tires-at-different-inflation-pressure_tbl2_335380981</t>
  </si>
  <si>
    <t>the part that passes thru the high pressure seal</t>
  </si>
  <si>
    <t>use 1e9 to ignore tire</t>
  </si>
  <si>
    <t>use 1e9 to ignore undamped</t>
  </si>
  <si>
    <t>use 1e9 to ignore damped</t>
  </si>
  <si>
    <t>use 1e9 to ignore settling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</si>
</sst>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1D1D1D"/>
      <name val="Calibri"/>
      <family val="2"/>
      <scheme val="minor"/>
    </font>
    <font>
      <sz val="11"/>
      <color rgb="FF1D1D1D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rgb="FFDFDFDF"/>
      </left>
      <right style="medium">
        <color rgb="FFDFDFD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FDFDF"/>
      </left>
      <right style="medium">
        <color rgb="FFDFDFDF"/>
      </right>
      <top/>
      <bottom style="medium">
        <color rgb="FFDFDFD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2"/>
      </left>
      <right style="thin">
        <color indexed="64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indexed="64"/>
      </right>
      <top style="thin">
        <color theme="2"/>
      </top>
      <bottom/>
      <diagonal/>
    </border>
    <border>
      <left style="thin">
        <color theme="2"/>
      </left>
      <right style="thin">
        <color indexed="64"/>
      </right>
      <top/>
      <bottom style="thin">
        <color theme="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2" xfId="0" applyFont="1" applyBorder="1"/>
    <xf numFmtId="0" fontId="2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2" fontId="3" fillId="3" borderId="3" xfId="0" applyNumberFormat="1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1" fontId="3" fillId="3" borderId="1" xfId="0" applyNumberFormat="1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1" fontId="3" fillId="3" borderId="7" xfId="0" applyNumberFormat="1" applyFont="1" applyFill="1" applyBorder="1" applyAlignment="1">
      <alignment vertical="center" wrapText="1"/>
    </xf>
    <xf numFmtId="2" fontId="0" fillId="3" borderId="0" xfId="0" applyNumberFormat="1" applyFill="1"/>
    <xf numFmtId="0" fontId="2" fillId="0" borderId="4" xfId="0" applyFont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11" fontId="3" fillId="0" borderId="10" xfId="0" applyNumberFormat="1" applyFont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0" fillId="3" borderId="0" xfId="0" applyFill="1"/>
    <xf numFmtId="1" fontId="3" fillId="3" borderId="0" xfId="0" applyNumberFormat="1" applyFont="1" applyFill="1" applyAlignment="1">
      <alignment vertical="center" wrapText="1"/>
    </xf>
    <xf numFmtId="165" fontId="0" fillId="3" borderId="0" xfId="0" applyNumberFormat="1" applyFill="1"/>
    <xf numFmtId="1" fontId="3" fillId="0" borderId="0" xfId="0" applyNumberFormat="1" applyFont="1" applyAlignment="1">
      <alignment vertical="center" wrapText="1"/>
    </xf>
    <xf numFmtId="0" fontId="0" fillId="0" borderId="12" xfId="0" applyBorder="1"/>
    <xf numFmtId="2" fontId="0" fillId="3" borderId="12" xfId="0" applyNumberFormat="1" applyFill="1" applyBorder="1"/>
    <xf numFmtId="1" fontId="0" fillId="3" borderId="12" xfId="0" applyNumberFormat="1" applyFill="1" applyBorder="1"/>
    <xf numFmtId="1" fontId="3" fillId="0" borderId="12" xfId="0" applyNumberFormat="1" applyFont="1" applyBorder="1" applyAlignment="1">
      <alignment vertical="center" wrapText="1"/>
    </xf>
    <xf numFmtId="1" fontId="3" fillId="3" borderId="12" xfId="0" applyNumberFormat="1" applyFont="1" applyFill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11" fontId="0" fillId="0" borderId="15" xfId="0" applyNumberFormat="1" applyBorder="1"/>
    <xf numFmtId="1" fontId="3" fillId="3" borderId="13" xfId="0" applyNumberFormat="1" applyFont="1" applyFill="1" applyBorder="1" applyAlignment="1">
      <alignment vertical="center" wrapText="1"/>
    </xf>
    <xf numFmtId="164" fontId="0" fillId="0" borderId="0" xfId="0" applyNumberFormat="1"/>
    <xf numFmtId="164" fontId="0" fillId="0" borderId="12" xfId="0" applyNumberFormat="1" applyBorder="1"/>
    <xf numFmtId="0" fontId="2" fillId="3" borderId="16" xfId="0" applyFont="1" applyFill="1" applyBorder="1" applyAlignment="1">
      <alignment vertical="center" wrapText="1"/>
    </xf>
    <xf numFmtId="164" fontId="0" fillId="3" borderId="17" xfId="0" applyNumberFormat="1" applyFill="1" applyBorder="1"/>
    <xf numFmtId="164" fontId="0" fillId="3" borderId="18" xfId="0" applyNumberFormat="1" applyFill="1" applyBorder="1"/>
    <xf numFmtId="0" fontId="2" fillId="2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0</xdr:colOff>
      <xdr:row>17</xdr:row>
      <xdr:rowOff>0</xdr:rowOff>
    </xdr:from>
    <xdr:to>
      <xdr:col>23</xdr:col>
      <xdr:colOff>304800</xdr:colOff>
      <xdr:row>18</xdr:row>
      <xdr:rowOff>114300</xdr:rowOff>
    </xdr:to>
    <xdr:sp macro="" textlink="">
      <xdr:nvSpPr>
        <xdr:cNvPr id="1025" name="AutoShape 1" descr="Vehicle typical damping coefficient">
          <a:extLst>
            <a:ext uri="{FF2B5EF4-FFF2-40B4-BE49-F238E27FC236}">
              <a16:creationId xmlns:a16="http://schemas.microsoft.com/office/drawing/2014/main" id="{6D0BD467-7B51-9F01-FFDA-838456ADC804}"/>
            </a:ext>
          </a:extLst>
        </xdr:cNvPr>
        <xdr:cNvSpPr>
          <a:spLocks noChangeAspect="1" noChangeArrowheads="1"/>
        </xdr:cNvSpPr>
      </xdr:nvSpPr>
      <xdr:spPr bwMode="auto">
        <a:xfrm>
          <a:off x="21031200" y="3648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17</xdr:row>
      <xdr:rowOff>0</xdr:rowOff>
    </xdr:from>
    <xdr:to>
      <xdr:col>23</xdr:col>
      <xdr:colOff>304800</xdr:colOff>
      <xdr:row>18</xdr:row>
      <xdr:rowOff>114300</xdr:rowOff>
    </xdr:to>
    <xdr:sp macro="" textlink="">
      <xdr:nvSpPr>
        <xdr:cNvPr id="1026" name="AutoShape 2" descr="Vehicle typical damping coefficient">
          <a:extLst>
            <a:ext uri="{FF2B5EF4-FFF2-40B4-BE49-F238E27FC236}">
              <a16:creationId xmlns:a16="http://schemas.microsoft.com/office/drawing/2014/main" id="{660B49C0-5638-6EFC-5BF6-4DDCE9385260}"/>
            </a:ext>
          </a:extLst>
        </xdr:cNvPr>
        <xdr:cNvSpPr>
          <a:spLocks noChangeAspect="1" noChangeArrowheads="1"/>
        </xdr:cNvSpPr>
      </xdr:nvSpPr>
      <xdr:spPr bwMode="auto">
        <a:xfrm>
          <a:off x="21031200" y="3648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</xdr:col>
      <xdr:colOff>1400735</xdr:colOff>
      <xdr:row>12</xdr:row>
      <xdr:rowOff>153595</xdr:rowOff>
    </xdr:from>
    <xdr:to>
      <xdr:col>21</xdr:col>
      <xdr:colOff>4594411</xdr:colOff>
      <xdr:row>16</xdr:row>
      <xdr:rowOff>156309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79230C-6A31-1FAD-04A7-DF9A93F3C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75941" y="2663713"/>
          <a:ext cx="3193676" cy="764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0</xdr:colOff>
      <xdr:row>30</xdr:row>
      <xdr:rowOff>0</xdr:rowOff>
    </xdr:from>
    <xdr:to>
      <xdr:col>17</xdr:col>
      <xdr:colOff>304800</xdr:colOff>
      <xdr:row>31</xdr:row>
      <xdr:rowOff>114300</xdr:rowOff>
    </xdr:to>
    <xdr:sp macro="" textlink="">
      <xdr:nvSpPr>
        <xdr:cNvPr id="3" name="AutoShape 1" descr="Vertical stiffness of standard tires and run-flat tires at different inflation pressure for the reference vehicle.">
          <a:extLst>
            <a:ext uri="{FF2B5EF4-FFF2-40B4-BE49-F238E27FC236}">
              <a16:creationId xmlns:a16="http://schemas.microsoft.com/office/drawing/2014/main" id="{4AAD6DDB-877D-1650-FCFB-77296CACB6BD}"/>
            </a:ext>
          </a:extLst>
        </xdr:cNvPr>
        <xdr:cNvSpPr>
          <a:spLocks noChangeAspect="1" noChangeArrowheads="1"/>
        </xdr:cNvSpPr>
      </xdr:nvSpPr>
      <xdr:spPr bwMode="auto">
        <a:xfrm>
          <a:off x="13906500" y="6124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21</xdr:col>
      <xdr:colOff>212912</xdr:colOff>
      <xdr:row>20</xdr:row>
      <xdr:rowOff>33617</xdr:rowOff>
    </xdr:from>
    <xdr:to>
      <xdr:col>21</xdr:col>
      <xdr:colOff>2446244</xdr:colOff>
      <xdr:row>23</xdr:row>
      <xdr:rowOff>76517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3BB96F4-0DA0-97EA-B9E7-32C5149C0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88118" y="4258235"/>
          <a:ext cx="2233332" cy="6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E7379-40B8-45ED-828E-E599F8AE7D06}">
  <dimension ref="B5:V40"/>
  <sheetViews>
    <sheetView tabSelected="1" zoomScale="85" zoomScaleNormal="85" workbookViewId="0">
      <selection activeCell="V15" sqref="V15"/>
    </sheetView>
  </sheetViews>
  <sheetFormatPr defaultRowHeight="15" x14ac:dyDescent="0.25"/>
  <cols>
    <col min="2" max="2" width="27.5703125" bestFit="1" customWidth="1"/>
    <col min="3" max="3" width="11.85546875" customWidth="1"/>
    <col min="4" max="20" width="11.42578125" customWidth="1"/>
    <col min="21" max="21" width="8.7109375" bestFit="1" customWidth="1"/>
    <col min="22" max="22" width="84.85546875" bestFit="1" customWidth="1"/>
    <col min="23" max="23" width="11.42578125" customWidth="1"/>
    <col min="24" max="25" width="12.140625" customWidth="1"/>
    <col min="26" max="31" width="11.42578125" customWidth="1"/>
  </cols>
  <sheetData>
    <row r="5" spans="2:22" ht="30.75" customHeight="1" x14ac:dyDescent="0.25">
      <c r="D5" s="37" t="s">
        <v>0</v>
      </c>
      <c r="E5" s="37"/>
      <c r="F5" s="37" t="s">
        <v>1</v>
      </c>
      <c r="G5" s="37"/>
      <c r="H5" s="37" t="s">
        <v>2</v>
      </c>
      <c r="I5" s="37"/>
      <c r="J5" s="37" t="s">
        <v>3</v>
      </c>
      <c r="K5" s="37"/>
      <c r="L5" s="37" t="s">
        <v>4</v>
      </c>
      <c r="M5" s="37"/>
      <c r="N5" s="37" t="s">
        <v>5</v>
      </c>
      <c r="O5" s="37"/>
      <c r="P5" s="37" t="s">
        <v>6</v>
      </c>
      <c r="Q5" s="37"/>
      <c r="R5" s="37" t="s">
        <v>8</v>
      </c>
      <c r="S5" s="37"/>
      <c r="T5" s="37" t="s">
        <v>18</v>
      </c>
      <c r="U5" s="37"/>
    </row>
    <row r="6" spans="2:22" x14ac:dyDescent="0.25">
      <c r="B6" s="1"/>
      <c r="C6" s="9" t="s">
        <v>9</v>
      </c>
      <c r="D6" s="2" t="s">
        <v>19</v>
      </c>
      <c r="E6" s="2" t="s">
        <v>20</v>
      </c>
      <c r="F6" s="2" t="s">
        <v>19</v>
      </c>
      <c r="G6" s="2" t="s">
        <v>20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19</v>
      </c>
      <c r="U6" s="2" t="s">
        <v>20</v>
      </c>
      <c r="V6" s="7" t="s">
        <v>17</v>
      </c>
    </row>
    <row r="7" spans="2:22" ht="15.75" thickBot="1" x14ac:dyDescent="0.3">
      <c r="B7" s="1" t="s">
        <v>21</v>
      </c>
      <c r="C7" s="2" t="s">
        <v>10</v>
      </c>
      <c r="D7" s="3">
        <v>168</v>
      </c>
      <c r="E7" s="3">
        <v>515</v>
      </c>
      <c r="F7" s="3">
        <v>205</v>
      </c>
      <c r="G7" s="3">
        <v>705</v>
      </c>
      <c r="H7" s="3">
        <v>241</v>
      </c>
      <c r="I7" s="3">
        <v>666</v>
      </c>
      <c r="J7" s="3">
        <v>198</v>
      </c>
      <c r="K7" s="3">
        <v>683</v>
      </c>
      <c r="L7" s="3">
        <v>269</v>
      </c>
      <c r="M7" s="3">
        <v>672</v>
      </c>
      <c r="N7" s="3">
        <v>202</v>
      </c>
      <c r="O7" s="3">
        <v>588</v>
      </c>
      <c r="P7" s="3" t="s">
        <v>7</v>
      </c>
      <c r="Q7" s="3" t="s">
        <v>7</v>
      </c>
      <c r="R7" s="3">
        <v>514</v>
      </c>
      <c r="S7" s="3">
        <v>914</v>
      </c>
      <c r="T7" s="3">
        <v>343</v>
      </c>
      <c r="U7" s="23">
        <v>800</v>
      </c>
    </row>
    <row r="8" spans="2:22" ht="15.75" thickBot="1" x14ac:dyDescent="0.3">
      <c r="B8" s="1" t="s">
        <v>21</v>
      </c>
      <c r="C8" s="5" t="s">
        <v>11</v>
      </c>
      <c r="D8" s="4">
        <f>D7*0.01785</f>
        <v>2.9988000000000001</v>
      </c>
      <c r="E8" s="4">
        <f t="shared" ref="E8:T8" si="0">E7*0.01785</f>
        <v>9.1927500000000002</v>
      </c>
      <c r="F8" s="4">
        <f t="shared" si="0"/>
        <v>3.6592500000000001</v>
      </c>
      <c r="G8" s="4">
        <f t="shared" si="0"/>
        <v>12.584250000000001</v>
      </c>
      <c r="H8" s="4">
        <f t="shared" si="0"/>
        <v>4.30185</v>
      </c>
      <c r="I8" s="4">
        <f t="shared" si="0"/>
        <v>11.888100000000001</v>
      </c>
      <c r="J8" s="4">
        <f t="shared" si="0"/>
        <v>3.5343000000000004</v>
      </c>
      <c r="K8" s="4">
        <f t="shared" si="0"/>
        <v>12.191550000000001</v>
      </c>
      <c r="L8" s="4">
        <f t="shared" si="0"/>
        <v>4.8016500000000004</v>
      </c>
      <c r="M8" s="4">
        <f t="shared" si="0"/>
        <v>11.995200000000001</v>
      </c>
      <c r="N8" s="4">
        <f t="shared" si="0"/>
        <v>3.6057000000000001</v>
      </c>
      <c r="O8" s="4">
        <f t="shared" si="0"/>
        <v>10.495800000000001</v>
      </c>
      <c r="P8" s="4" t="e">
        <f t="shared" si="0"/>
        <v>#VALUE!</v>
      </c>
      <c r="Q8" s="4" t="e">
        <f t="shared" si="0"/>
        <v>#VALUE!</v>
      </c>
      <c r="R8" s="4">
        <f t="shared" si="0"/>
        <v>9.1749000000000009</v>
      </c>
      <c r="S8" s="4">
        <f t="shared" si="0"/>
        <v>16.314900000000002</v>
      </c>
      <c r="T8" s="4">
        <f t="shared" si="0"/>
        <v>6.1225500000000004</v>
      </c>
      <c r="U8" s="24">
        <f>U7*0.01785</f>
        <v>14.280000000000001</v>
      </c>
    </row>
    <row r="9" spans="2:22" x14ac:dyDescent="0.25">
      <c r="B9" s="1" t="s">
        <v>21</v>
      </c>
      <c r="C9" s="5" t="s">
        <v>12</v>
      </c>
      <c r="D9" s="6">
        <f>D8*9.81*1000</f>
        <v>29418.228000000003</v>
      </c>
      <c r="E9" s="6">
        <f t="shared" ref="E9:T9" si="1">E8*9.81*1000</f>
        <v>90180.877500000002</v>
      </c>
      <c r="F9" s="6">
        <f t="shared" si="1"/>
        <v>35897.242500000008</v>
      </c>
      <c r="G9" s="6">
        <f t="shared" si="1"/>
        <v>123451.49250000001</v>
      </c>
      <c r="H9" s="6">
        <f t="shared" si="1"/>
        <v>42201.148500000003</v>
      </c>
      <c r="I9" s="6">
        <f t="shared" si="1"/>
        <v>116622.26100000003</v>
      </c>
      <c r="J9" s="6">
        <f t="shared" si="1"/>
        <v>34671.483000000007</v>
      </c>
      <c r="K9" s="6">
        <f t="shared" si="1"/>
        <v>119599.10550000002</v>
      </c>
      <c r="L9" s="6">
        <f t="shared" si="1"/>
        <v>47104.186500000003</v>
      </c>
      <c r="M9" s="6">
        <f t="shared" si="1"/>
        <v>117672.91200000001</v>
      </c>
      <c r="N9" s="6">
        <f t="shared" si="1"/>
        <v>35371.917000000001</v>
      </c>
      <c r="O9" s="6">
        <f t="shared" si="1"/>
        <v>102963.79800000001</v>
      </c>
      <c r="P9" s="6" t="e">
        <f t="shared" si="1"/>
        <v>#VALUE!</v>
      </c>
      <c r="Q9" s="6" t="e">
        <f t="shared" si="1"/>
        <v>#VALUE!</v>
      </c>
      <c r="R9" s="6">
        <f t="shared" si="1"/>
        <v>90005.769000000015</v>
      </c>
      <c r="S9" s="6">
        <f t="shared" si="1"/>
        <v>160049.16900000002</v>
      </c>
      <c r="T9" s="6">
        <f t="shared" si="1"/>
        <v>60062.215500000006</v>
      </c>
      <c r="U9" s="25">
        <f>U8*9.81*1000</f>
        <v>140086.80000000002</v>
      </c>
    </row>
    <row r="10" spans="2:22" x14ac:dyDescent="0.25">
      <c r="B10" s="1" t="s">
        <v>51</v>
      </c>
      <c r="C10" s="10" t="s">
        <v>12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20725</v>
      </c>
      <c r="U10" s="26">
        <v>20725</v>
      </c>
      <c r="V10" t="s">
        <v>58</v>
      </c>
    </row>
    <row r="11" spans="2:22" x14ac:dyDescent="0.25">
      <c r="B11" s="1" t="s">
        <v>52</v>
      </c>
      <c r="C11" s="11" t="s">
        <v>12</v>
      </c>
      <c r="D11" s="20">
        <f>D9+D10</f>
        <v>29418.228000000003</v>
      </c>
      <c r="E11" s="20">
        <f t="shared" ref="E11:U11" si="2">E9+E10</f>
        <v>90180.877500000002</v>
      </c>
      <c r="F11" s="20">
        <f t="shared" si="2"/>
        <v>35897.242500000008</v>
      </c>
      <c r="G11" s="20">
        <f t="shared" si="2"/>
        <v>123451.49250000001</v>
      </c>
      <c r="H11" s="20">
        <f t="shared" si="2"/>
        <v>42201.148500000003</v>
      </c>
      <c r="I11" s="20">
        <f t="shared" si="2"/>
        <v>116622.26100000003</v>
      </c>
      <c r="J11" s="20">
        <f t="shared" si="2"/>
        <v>34671.483000000007</v>
      </c>
      <c r="K11" s="20">
        <f t="shared" si="2"/>
        <v>119599.10550000002</v>
      </c>
      <c r="L11" s="20">
        <f t="shared" si="2"/>
        <v>47104.186500000003</v>
      </c>
      <c r="M11" s="20">
        <f t="shared" si="2"/>
        <v>117672.91200000001</v>
      </c>
      <c r="N11" s="20">
        <f t="shared" si="2"/>
        <v>35371.917000000001</v>
      </c>
      <c r="O11" s="20">
        <f t="shared" si="2"/>
        <v>102963.79800000001</v>
      </c>
      <c r="P11" s="20" t="e">
        <f t="shared" si="2"/>
        <v>#VALUE!</v>
      </c>
      <c r="Q11" s="20" t="e">
        <f t="shared" si="2"/>
        <v>#VALUE!</v>
      </c>
      <c r="R11" s="20">
        <f t="shared" si="2"/>
        <v>90005.769000000015</v>
      </c>
      <c r="S11" s="20">
        <f t="shared" si="2"/>
        <v>160049.16900000002</v>
      </c>
      <c r="T11" s="20">
        <f t="shared" si="2"/>
        <v>80787.215500000006</v>
      </c>
      <c r="U11" s="27">
        <f t="shared" si="2"/>
        <v>160811.80000000002</v>
      </c>
    </row>
    <row r="12" spans="2:22" x14ac:dyDescent="0.25">
      <c r="B12" s="2" t="s">
        <v>22</v>
      </c>
      <c r="C12" s="10" t="s">
        <v>13</v>
      </c>
      <c r="D12" s="12">
        <v>350</v>
      </c>
      <c r="E12" s="12">
        <v>317</v>
      </c>
      <c r="F12" s="12">
        <v>350</v>
      </c>
      <c r="G12" s="12">
        <v>317</v>
      </c>
      <c r="H12" s="12">
        <v>350</v>
      </c>
      <c r="I12" s="12">
        <v>317</v>
      </c>
      <c r="J12" s="12">
        <v>350</v>
      </c>
      <c r="K12" s="12">
        <v>317</v>
      </c>
      <c r="L12" s="12">
        <v>350</v>
      </c>
      <c r="M12" s="12">
        <v>317</v>
      </c>
      <c r="N12" s="12">
        <v>350</v>
      </c>
      <c r="O12" s="12">
        <v>317</v>
      </c>
      <c r="P12" s="12">
        <v>350</v>
      </c>
      <c r="Q12" s="12">
        <v>317</v>
      </c>
      <c r="R12" s="12">
        <v>350</v>
      </c>
      <c r="S12" s="12">
        <v>317</v>
      </c>
      <c r="T12" s="12">
        <v>350</v>
      </c>
      <c r="U12" s="28">
        <v>317</v>
      </c>
    </row>
    <row r="13" spans="2:22" x14ac:dyDescent="0.25">
      <c r="B13" s="2" t="s">
        <v>23</v>
      </c>
      <c r="C13" s="9" t="s">
        <v>15</v>
      </c>
      <c r="D13" s="16">
        <v>0.85</v>
      </c>
      <c r="E13" s="16">
        <v>0.59</v>
      </c>
      <c r="F13" s="16">
        <v>0.85</v>
      </c>
      <c r="G13" s="16">
        <v>0.59</v>
      </c>
      <c r="H13" s="16">
        <v>0.85</v>
      </c>
      <c r="I13" s="16">
        <v>0.59</v>
      </c>
      <c r="J13" s="16">
        <v>0.85</v>
      </c>
      <c r="K13" s="16">
        <v>0.59</v>
      </c>
      <c r="L13" s="16">
        <v>0.85</v>
      </c>
      <c r="M13" s="16">
        <v>0.59</v>
      </c>
      <c r="N13" s="16">
        <v>0.85</v>
      </c>
      <c r="O13" s="16">
        <v>0.59</v>
      </c>
      <c r="P13" s="16">
        <v>0.85</v>
      </c>
      <c r="Q13" s="16">
        <v>0.59</v>
      </c>
      <c r="R13" s="16">
        <v>0.85</v>
      </c>
      <c r="S13" s="16">
        <v>0.59</v>
      </c>
      <c r="T13" s="16">
        <v>0.85</v>
      </c>
      <c r="U13" s="29">
        <v>0.59</v>
      </c>
    </row>
    <row r="14" spans="2:22" x14ac:dyDescent="0.25">
      <c r="B14" s="1" t="s">
        <v>16</v>
      </c>
      <c r="C14" s="11" t="s">
        <v>15</v>
      </c>
      <c r="D14" s="38">
        <f>D11*D13*D13/(E11*E13*E13)</f>
        <v>0.67707360065598832</v>
      </c>
      <c r="E14" s="38"/>
      <c r="F14" s="38">
        <f t="shared" ref="F14" si="3">F11*F13*F13/(G11*G13*G13)</f>
        <v>0.60352959632941539</v>
      </c>
      <c r="G14" s="38"/>
      <c r="H14" s="38">
        <f t="shared" ref="H14" si="4">H11*H13*H13/(I11*I13*I13)</f>
        <v>0.75106347370064674</v>
      </c>
      <c r="I14" s="38"/>
      <c r="J14" s="38">
        <f t="shared" ref="J14" si="5">J11*J13*J13/(K11*K13*K13)</f>
        <v>0.60169764919203739</v>
      </c>
      <c r="K14" s="38"/>
      <c r="L14" s="38">
        <f t="shared" ref="L14" si="6">L11*L13*L13/(M11*M13*M13)</f>
        <v>0.83083892491210776</v>
      </c>
      <c r="M14" s="38"/>
      <c r="N14" s="38">
        <f t="shared" ref="N14" si="7">N11*N13*N13/(O11*O13*O13)</f>
        <v>0.71303011293572294</v>
      </c>
      <c r="O14" s="38"/>
      <c r="P14" s="38" t="e">
        <f t="shared" ref="P14" si="8">P11*P13*P13/(Q11*Q13*Q13)</f>
        <v>#VALUE!</v>
      </c>
      <c r="Q14" s="38"/>
      <c r="R14" s="38">
        <f t="shared" ref="R14" si="9">R11*R13*R13/(S11*S13*S13)</f>
        <v>1.1672147079142352</v>
      </c>
      <c r="S14" s="38"/>
      <c r="T14" s="38">
        <f t="shared" ref="T14" si="10">T11*T13*T13/(U11*U13*U13)</f>
        <v>1.0426980336960836</v>
      </c>
      <c r="U14" s="38"/>
    </row>
    <row r="15" spans="2:22" x14ac:dyDescent="0.25">
      <c r="B15" s="2" t="s">
        <v>24</v>
      </c>
      <c r="C15" s="10" t="s">
        <v>12</v>
      </c>
      <c r="D15" s="17">
        <v>300000</v>
      </c>
      <c r="E15" s="17">
        <v>300000</v>
      </c>
      <c r="F15" s="17">
        <v>300000</v>
      </c>
      <c r="G15" s="17">
        <v>300000</v>
      </c>
      <c r="H15" s="17">
        <v>300000</v>
      </c>
      <c r="I15" s="17">
        <v>300000</v>
      </c>
      <c r="J15" s="17">
        <v>300000</v>
      </c>
      <c r="K15" s="17">
        <v>300000</v>
      </c>
      <c r="L15" s="17">
        <v>300000</v>
      </c>
      <c r="M15" s="17">
        <v>300000</v>
      </c>
      <c r="N15" s="17">
        <v>300000</v>
      </c>
      <c r="O15" s="17">
        <v>300000</v>
      </c>
      <c r="P15" s="17">
        <v>300000</v>
      </c>
      <c r="Q15" s="17">
        <v>300000</v>
      </c>
      <c r="R15" s="17">
        <v>300000</v>
      </c>
      <c r="S15" s="17">
        <v>300000</v>
      </c>
      <c r="T15" s="17">
        <v>300000</v>
      </c>
      <c r="U15" s="30">
        <v>300000</v>
      </c>
      <c r="V15" t="s">
        <v>61</v>
      </c>
    </row>
    <row r="16" spans="2:22" x14ac:dyDescent="0.25">
      <c r="B16" s="2" t="s">
        <v>25</v>
      </c>
      <c r="C16" s="11" t="s">
        <v>12</v>
      </c>
      <c r="D16" s="13">
        <f>D11*D13*D13*D15/(D11*D13*D13+D15)</f>
        <v>19848.430294753613</v>
      </c>
      <c r="E16" s="13">
        <f t="shared" ref="E16:U16" si="11">E11*E13*E13*E15/(E11*E13*E13+E15)</f>
        <v>28418.278280081682</v>
      </c>
      <c r="F16" s="13">
        <f t="shared" si="11"/>
        <v>23871.96595620966</v>
      </c>
      <c r="G16" s="13">
        <f t="shared" si="11"/>
        <v>37589.028582995903</v>
      </c>
      <c r="H16" s="13">
        <f t="shared" si="11"/>
        <v>27677.357286528317</v>
      </c>
      <c r="I16" s="13">
        <f t="shared" si="11"/>
        <v>35757.481711417175</v>
      </c>
      <c r="J16" s="13">
        <f t="shared" si="11"/>
        <v>23119.644836097283</v>
      </c>
      <c r="K16" s="13">
        <f t="shared" si="11"/>
        <v>36558.982138991923</v>
      </c>
      <c r="L16" s="13">
        <f t="shared" si="11"/>
        <v>30565.361233283053</v>
      </c>
      <c r="M16" s="13">
        <f t="shared" si="11"/>
        <v>36040.920508938616</v>
      </c>
      <c r="N16" s="13">
        <f t="shared" si="11"/>
        <v>23550.043812663331</v>
      </c>
      <c r="O16" s="13">
        <f t="shared" si="11"/>
        <v>32016.600340250214</v>
      </c>
      <c r="P16" s="13" t="e">
        <f t="shared" si="11"/>
        <v>#VALUE!</v>
      </c>
      <c r="Q16" s="13" t="e">
        <f t="shared" si="11"/>
        <v>#VALUE!</v>
      </c>
      <c r="R16" s="13">
        <f t="shared" si="11"/>
        <v>53444.360438812808</v>
      </c>
      <c r="S16" s="13">
        <f t="shared" si="11"/>
        <v>46987.119618631688</v>
      </c>
      <c r="T16" s="13">
        <f t="shared" si="11"/>
        <v>48862.040327754992</v>
      </c>
      <c r="U16" s="31">
        <f t="shared" si="11"/>
        <v>47175.804556575851</v>
      </c>
      <c r="V16" t="s">
        <v>59</v>
      </c>
    </row>
    <row r="17" spans="2:22" ht="30" x14ac:dyDescent="0.25">
      <c r="B17" s="2" t="s">
        <v>29</v>
      </c>
      <c r="C17" s="5" t="s">
        <v>14</v>
      </c>
      <c r="D17" s="32">
        <f>SQRT(D16/D12)/(2*PI())</f>
        <v>1.198530782400707</v>
      </c>
      <c r="E17" s="32">
        <f t="shared" ref="E17:U17" si="12">SQRT(E16/E12)/(2*PI())</f>
        <v>1.5069171719452541</v>
      </c>
      <c r="F17" s="32">
        <f t="shared" si="12"/>
        <v>1.3144080271450704</v>
      </c>
      <c r="G17" s="32">
        <f t="shared" si="12"/>
        <v>1.7330897419417346</v>
      </c>
      <c r="H17" s="32">
        <f t="shared" si="12"/>
        <v>1.4152997159518976</v>
      </c>
      <c r="I17" s="32">
        <f t="shared" si="12"/>
        <v>1.6903395891688107</v>
      </c>
      <c r="J17" s="32">
        <f t="shared" si="12"/>
        <v>1.2935305452751724</v>
      </c>
      <c r="K17" s="32">
        <f t="shared" si="12"/>
        <v>1.7091790009592296</v>
      </c>
      <c r="L17" s="32">
        <f t="shared" si="12"/>
        <v>1.4873078696115591</v>
      </c>
      <c r="M17" s="32">
        <f t="shared" si="12"/>
        <v>1.6970257721184674</v>
      </c>
      <c r="N17" s="32">
        <f t="shared" si="12"/>
        <v>1.3055153098429211</v>
      </c>
      <c r="O17" s="32">
        <f t="shared" si="12"/>
        <v>1.5994773995398199</v>
      </c>
      <c r="P17" s="32" t="e">
        <f t="shared" si="12"/>
        <v>#VALUE!</v>
      </c>
      <c r="Q17" s="32" t="e">
        <f t="shared" si="12"/>
        <v>#VALUE!</v>
      </c>
      <c r="R17" s="32">
        <f t="shared" si="12"/>
        <v>1.9666951718679604</v>
      </c>
      <c r="S17" s="32">
        <f t="shared" si="12"/>
        <v>1.9376704312348678</v>
      </c>
      <c r="T17" s="32">
        <f t="shared" si="12"/>
        <v>1.8804938107521079</v>
      </c>
      <c r="U17" s="33">
        <f t="shared" si="12"/>
        <v>1.941557059329136</v>
      </c>
    </row>
    <row r="18" spans="2:22" x14ac:dyDescent="0.25">
      <c r="B18" s="2" t="s">
        <v>26</v>
      </c>
      <c r="C18" s="15" t="s">
        <v>15</v>
      </c>
      <c r="D18">
        <v>0.3</v>
      </c>
      <c r="E18">
        <v>0.3</v>
      </c>
      <c r="F18">
        <v>0.3</v>
      </c>
      <c r="G18">
        <v>0.3</v>
      </c>
      <c r="H18">
        <v>0.3</v>
      </c>
      <c r="I18">
        <v>0.3</v>
      </c>
      <c r="J18">
        <v>0.3</v>
      </c>
      <c r="K18">
        <v>0.3</v>
      </c>
      <c r="L18">
        <v>0.3</v>
      </c>
      <c r="M18">
        <v>0.3</v>
      </c>
      <c r="N18">
        <v>0.3</v>
      </c>
      <c r="O18">
        <v>0.3</v>
      </c>
      <c r="P18">
        <v>0.3</v>
      </c>
      <c r="Q18">
        <v>0.3</v>
      </c>
      <c r="R18">
        <v>0.4</v>
      </c>
      <c r="S18">
        <v>0.4</v>
      </c>
      <c r="T18">
        <v>0.4</v>
      </c>
      <c r="U18">
        <v>0.4</v>
      </c>
      <c r="V18" t="s">
        <v>53</v>
      </c>
    </row>
    <row r="19" spans="2:22" x14ac:dyDescent="0.25">
      <c r="B19" s="2" t="s">
        <v>30</v>
      </c>
      <c r="C19" s="18" t="s">
        <v>14</v>
      </c>
      <c r="D19" s="32">
        <f>D17*SQRT(1-D18^2)</f>
        <v>1.1433254974369575</v>
      </c>
      <c r="E19" s="32">
        <f t="shared" ref="E19:U19" si="13">E17*SQRT(1-E18^2)</f>
        <v>1.437507363606938</v>
      </c>
      <c r="F19" s="32">
        <f t="shared" si="13"/>
        <v>1.2538653437507916</v>
      </c>
      <c r="G19" s="32">
        <f t="shared" si="13"/>
        <v>1.6532622444117988</v>
      </c>
      <c r="H19" s="32">
        <f t="shared" si="13"/>
        <v>1.3501098808007832</v>
      </c>
      <c r="I19" s="32">
        <f t="shared" si="13"/>
        <v>1.6124811978151432</v>
      </c>
      <c r="J19" s="32">
        <f t="shared" si="13"/>
        <v>1.2339494953682242</v>
      </c>
      <c r="K19" s="32">
        <f t="shared" si="13"/>
        <v>1.6304528512536605</v>
      </c>
      <c r="L19" s="32">
        <f t="shared" si="13"/>
        <v>1.4188012813983895</v>
      </c>
      <c r="M19" s="32">
        <f t="shared" si="13"/>
        <v>1.6188594098386664</v>
      </c>
      <c r="N19" s="32">
        <f t="shared" si="13"/>
        <v>1.2453822321091526</v>
      </c>
      <c r="O19" s="32">
        <f t="shared" si="13"/>
        <v>1.5258041932014688</v>
      </c>
      <c r="P19" s="32" t="e">
        <f t="shared" si="13"/>
        <v>#VALUE!</v>
      </c>
      <c r="Q19" s="32" t="e">
        <f t="shared" si="13"/>
        <v>#VALUE!</v>
      </c>
      <c r="R19" s="32">
        <f t="shared" si="13"/>
        <v>1.8025058987978226</v>
      </c>
      <c r="S19" s="32">
        <f t="shared" si="13"/>
        <v>1.7759042846023012</v>
      </c>
      <c r="T19" s="32">
        <f t="shared" si="13"/>
        <v>1.7235010463334992</v>
      </c>
      <c r="U19" s="33">
        <f t="shared" si="13"/>
        <v>1.7794664380903265</v>
      </c>
    </row>
    <row r="20" spans="2:22" x14ac:dyDescent="0.25">
      <c r="B20" s="8" t="s">
        <v>27</v>
      </c>
      <c r="C20" s="34" t="s">
        <v>28</v>
      </c>
      <c r="D20" s="35">
        <f>4/(D18*D17*2*PI())</f>
        <v>1.7705560333138479</v>
      </c>
      <c r="E20" s="35">
        <f t="shared" ref="E20:U20" si="14">4/(E18*E17*2*PI())</f>
        <v>1.4082166872865338</v>
      </c>
      <c r="F20" s="35">
        <f t="shared" si="14"/>
        <v>1.6144651159055399</v>
      </c>
      <c r="G20" s="35">
        <f t="shared" si="14"/>
        <v>1.2244408679693637</v>
      </c>
      <c r="H20" s="35">
        <f t="shared" si="14"/>
        <v>1.4993756332839265</v>
      </c>
      <c r="I20" s="35">
        <f t="shared" si="14"/>
        <v>1.2554080384139967</v>
      </c>
      <c r="J20" s="35">
        <f t="shared" si="14"/>
        <v>1.6405224566540957</v>
      </c>
      <c r="K20" s="35">
        <f t="shared" si="14"/>
        <v>1.2415703134083598</v>
      </c>
      <c r="L20" s="35">
        <f t="shared" si="14"/>
        <v>1.426783217684553</v>
      </c>
      <c r="M20" s="35">
        <f t="shared" si="14"/>
        <v>1.2504618036783703</v>
      </c>
      <c r="N20" s="35">
        <f t="shared" si="14"/>
        <v>1.625462292086995</v>
      </c>
      <c r="O20" s="35">
        <f t="shared" si="14"/>
        <v>1.3267245342150318</v>
      </c>
      <c r="P20" s="35" t="e">
        <f t="shared" si="14"/>
        <v>#VALUE!</v>
      </c>
      <c r="Q20" s="35" t="e">
        <f t="shared" si="14"/>
        <v>#VALUE!</v>
      </c>
      <c r="R20" s="35">
        <f t="shared" si="14"/>
        <v>0.80925069308392361</v>
      </c>
      <c r="S20" s="35">
        <f t="shared" si="14"/>
        <v>0.82137261593276556</v>
      </c>
      <c r="T20" s="35">
        <f t="shared" si="14"/>
        <v>0.84634654037090895</v>
      </c>
      <c r="U20" s="36">
        <f t="shared" si="14"/>
        <v>0.81972838411912519</v>
      </c>
    </row>
    <row r="24" spans="2:22" x14ac:dyDescent="0.25">
      <c r="B24" s="39" t="s">
        <v>31</v>
      </c>
      <c r="C24" s="40"/>
      <c r="D24" s="41"/>
    </row>
    <row r="25" spans="2:22" x14ac:dyDescent="0.25">
      <c r="B25" t="s">
        <v>32</v>
      </c>
      <c r="C25" t="s">
        <v>34</v>
      </c>
      <c r="D25">
        <v>20</v>
      </c>
      <c r="E25" t="s">
        <v>60</v>
      </c>
    </row>
    <row r="26" spans="2:22" x14ac:dyDescent="0.25">
      <c r="B26" t="s">
        <v>33</v>
      </c>
      <c r="C26" s="19" t="s">
        <v>40</v>
      </c>
      <c r="D26" s="21">
        <f>PI()*(D25/2)^2</f>
        <v>314.15926535897933</v>
      </c>
    </row>
    <row r="27" spans="2:22" x14ac:dyDescent="0.25">
      <c r="B27" t="s">
        <v>33</v>
      </c>
      <c r="C27" s="19" t="s">
        <v>48</v>
      </c>
      <c r="D27" s="19">
        <f>D26/1000^2</f>
        <v>3.1415926535897931E-4</v>
      </c>
    </row>
    <row r="28" spans="2:22" x14ac:dyDescent="0.25">
      <c r="B28" t="s">
        <v>44</v>
      </c>
      <c r="C28" t="s">
        <v>34</v>
      </c>
      <c r="D28">
        <v>40</v>
      </c>
    </row>
    <row r="29" spans="2:22" x14ac:dyDescent="0.25">
      <c r="B29" t="s">
        <v>45</v>
      </c>
      <c r="C29" s="19" t="s">
        <v>40</v>
      </c>
      <c r="D29" s="21">
        <f>PI()*(D28/2)^2</f>
        <v>1256.6370614359173</v>
      </c>
    </row>
    <row r="30" spans="2:22" x14ac:dyDescent="0.25">
      <c r="B30" t="s">
        <v>45</v>
      </c>
      <c r="C30" s="19" t="s">
        <v>48</v>
      </c>
      <c r="D30" s="19">
        <f>D29/1000^2</f>
        <v>1.2566370614359172E-3</v>
      </c>
    </row>
    <row r="31" spans="2:22" x14ac:dyDescent="0.25">
      <c r="B31" t="s">
        <v>39</v>
      </c>
      <c r="C31" s="19" t="s">
        <v>15</v>
      </c>
      <c r="D31" s="19">
        <f>D29/D26</f>
        <v>4</v>
      </c>
    </row>
    <row r="32" spans="2:22" x14ac:dyDescent="0.25">
      <c r="B32" t="s">
        <v>36</v>
      </c>
      <c r="C32" t="s">
        <v>46</v>
      </c>
      <c r="D32">
        <v>8000</v>
      </c>
      <c r="E32" t="s">
        <v>54</v>
      </c>
    </row>
    <row r="33" spans="2:5" x14ac:dyDescent="0.25">
      <c r="B33" t="s">
        <v>36</v>
      </c>
      <c r="C33" s="19" t="s">
        <v>38</v>
      </c>
      <c r="D33" s="19">
        <f>D32/1000^3</f>
        <v>7.9999999999999996E-6</v>
      </c>
    </row>
    <row r="34" spans="2:5" x14ac:dyDescent="0.25">
      <c r="B34" t="s">
        <v>47</v>
      </c>
      <c r="C34" t="s">
        <v>49</v>
      </c>
      <c r="D34">
        <v>12</v>
      </c>
      <c r="E34" t="s">
        <v>56</v>
      </c>
    </row>
    <row r="35" spans="2:5" x14ac:dyDescent="0.25">
      <c r="B35" t="s">
        <v>47</v>
      </c>
      <c r="C35" s="19" t="s">
        <v>37</v>
      </c>
      <c r="D35" s="19">
        <f>D34*100000</f>
        <v>1200000</v>
      </c>
    </row>
    <row r="36" spans="2:5" x14ac:dyDescent="0.25">
      <c r="B36" t="s">
        <v>35</v>
      </c>
      <c r="C36" t="s">
        <v>15</v>
      </c>
      <c r="D36">
        <v>1.4</v>
      </c>
      <c r="E36" t="s">
        <v>55</v>
      </c>
    </row>
    <row r="37" spans="2:5" x14ac:dyDescent="0.25">
      <c r="B37" t="s">
        <v>41</v>
      </c>
      <c r="C37" s="19" t="s">
        <v>42</v>
      </c>
      <c r="D37" s="14">
        <f>D35*D27</f>
        <v>376.99111843077515</v>
      </c>
    </row>
    <row r="38" spans="2:5" x14ac:dyDescent="0.25">
      <c r="B38" t="s">
        <v>41</v>
      </c>
      <c r="C38" s="19" t="s">
        <v>50</v>
      </c>
      <c r="D38" s="14">
        <f>D37*0.2248</f>
        <v>84.747603423238246</v>
      </c>
    </row>
    <row r="39" spans="2:5" x14ac:dyDescent="0.25">
      <c r="B39" t="s">
        <v>43</v>
      </c>
      <c r="C39" s="19" t="s">
        <v>12</v>
      </c>
      <c r="D39" s="14">
        <f>(D36*D35*D30^2/D33)*(D27^2/D30^2)</f>
        <v>20726.169242287651</v>
      </c>
      <c r="E39" t="s">
        <v>57</v>
      </c>
    </row>
    <row r="40" spans="2:5" x14ac:dyDescent="0.25">
      <c r="B40" t="s">
        <v>43</v>
      </c>
      <c r="C40" s="19" t="s">
        <v>10</v>
      </c>
      <c r="D40" s="14">
        <f>D39*0.00571</f>
        <v>118.34642637346248</v>
      </c>
    </row>
  </sheetData>
  <mergeCells count="19">
    <mergeCell ref="H5:I5"/>
    <mergeCell ref="J5:K5"/>
    <mergeCell ref="L5:M5"/>
    <mergeCell ref="N5:O5"/>
    <mergeCell ref="R14:S14"/>
    <mergeCell ref="T14:U14"/>
    <mergeCell ref="B24:D24"/>
    <mergeCell ref="P5:Q5"/>
    <mergeCell ref="R5:S5"/>
    <mergeCell ref="T5:U5"/>
    <mergeCell ref="D14:E14"/>
    <mergeCell ref="F14:G14"/>
    <mergeCell ref="H14:I14"/>
    <mergeCell ref="J14:K14"/>
    <mergeCell ref="L14:M14"/>
    <mergeCell ref="N14:O14"/>
    <mergeCell ref="P14:Q14"/>
    <mergeCell ref="D5:E5"/>
    <mergeCell ref="F5:G5"/>
  </mergeCells>
  <conditionalFormatting sqref="D14 F14 H14 J14 L14 N14 P14 R14 T14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{84AED8C1-19F8-4D69-AC55-8E62343A15E5}</x14:id>
        </ext>
      </extLst>
    </cfRule>
  </conditionalFormatting>
  <conditionalFormatting sqref="D17:U1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U1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U2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{6701BC7E-47E4-4044-A9B9-0C3E31BD7D09}</x14:id>
        </ext>
      </extLst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4AED8C1-19F8-4D69-AC55-8E62343A15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D14 F14 H14 J14 L14 N14 P14 R14 T14</xm:sqref>
        </x14:conditionalFormatting>
        <x14:conditionalFormatting xmlns:xm="http://schemas.microsoft.com/office/excel/2006/main">
          <x14:cfRule type="dataBar" id="{6701BC7E-47E4-4044-A9B9-0C3E31BD7D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D20:U20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Nguyen</dc:creator>
  <cp:lastModifiedBy>Peter Nguyen</cp:lastModifiedBy>
  <dcterms:created xsi:type="dcterms:W3CDTF">2025-10-16T20:14:42Z</dcterms:created>
  <dcterms:modified xsi:type="dcterms:W3CDTF">2025-10-23T19:40:24Z</dcterms:modified>
</cp:coreProperties>
</file>